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donnell\Desktop\AAVSO\1. Spectroscopy Section Meetings\Presentations\"/>
    </mc:Choice>
  </mc:AlternateContent>
  <xr:revisionPtr revIDLastSave="0" documentId="13_ncr:1_{819478C8-D9F0-4241-906A-E6FE9113EAD8}" xr6:coauthVersionLast="47" xr6:coauthVersionMax="47" xr10:uidLastSave="{00000000-0000-0000-0000-000000000000}"/>
  <bookViews>
    <workbookView xWindow="20370" yWindow="-120" windowWidth="19440" windowHeight="15000" xr2:uid="{0D661E5E-CAA0-4A2E-B73A-B75AE3C38513}"/>
  </bookViews>
  <sheets>
    <sheet name="Slit Loss Calculator" sheetId="1" r:id="rId1"/>
    <sheet name="Data" sheetId="2" r:id="rId2"/>
  </sheets>
  <definedNames>
    <definedName name="_xlnm.Print_Area" localSheetId="0">'Slit Loss Calculator'!$B$2:$J$33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9" i="1" l="1"/>
  <c r="E60" i="2" l="1"/>
  <c r="E61" i="2" s="1"/>
  <c r="E62" i="2" s="1"/>
  <c r="E63" i="2" s="1"/>
  <c r="E64" i="2" s="1"/>
  <c r="E65" i="2" s="1"/>
  <c r="C60" i="2"/>
  <c r="C61" i="2" s="1"/>
  <c r="C62" i="2" s="1"/>
  <c r="C63" i="2" s="1"/>
  <c r="C64" i="2" s="1"/>
  <c r="C65" i="2" s="1"/>
  <c r="E59" i="2"/>
  <c r="C59" i="2"/>
  <c r="D56" i="2"/>
  <c r="E51" i="2"/>
  <c r="C51" i="2"/>
  <c r="C41" i="2"/>
  <c r="I11" i="1" s="1"/>
  <c r="D38" i="2"/>
  <c r="E33" i="2"/>
  <c r="C33" i="2"/>
  <c r="H25" i="2"/>
  <c r="C30" i="2" s="1"/>
  <c r="C23" i="2"/>
  <c r="C24" i="2" s="1"/>
  <c r="C25" i="2" s="1"/>
  <c r="C26" i="2" s="1"/>
  <c r="D20" i="2"/>
  <c r="E15" i="2"/>
  <c r="C15" i="2"/>
  <c r="H13" i="2"/>
  <c r="H14" i="2" s="1"/>
  <c r="H15" i="2" s="1"/>
  <c r="H16" i="2" s="1"/>
  <c r="H10" i="2"/>
  <c r="H9" i="2"/>
  <c r="H8" i="2"/>
  <c r="H7" i="2"/>
  <c r="H6" i="2"/>
  <c r="C5" i="2"/>
  <c r="C6" i="2" s="1"/>
  <c r="C7" i="2" s="1"/>
  <c r="C8" i="2" s="1"/>
  <c r="F19" i="1"/>
  <c r="F18" i="1"/>
  <c r="G7" i="1"/>
  <c r="G6" i="1"/>
  <c r="G5" i="1"/>
  <c r="G4" i="1"/>
  <c r="D60" i="2" l="1"/>
  <c r="D61" i="2" s="1"/>
  <c r="D62" i="2" s="1"/>
  <c r="D63" i="2" s="1"/>
  <c r="D64" i="2" s="1"/>
  <c r="D65" i="2" s="1"/>
  <c r="G8" i="1"/>
  <c r="H17" i="2"/>
  <c r="H18" i="2" s="1"/>
  <c r="C27" i="2"/>
  <c r="H16" i="1" s="1"/>
  <c r="D18" i="2"/>
  <c r="H11" i="1"/>
  <c r="D59" i="2"/>
  <c r="C9" i="2"/>
  <c r="C10" i="2" s="1"/>
  <c r="E16" i="2" s="1"/>
  <c r="D51" i="2"/>
  <c r="D15" i="2"/>
  <c r="D33" i="2"/>
  <c r="D36" i="2"/>
  <c r="C42" i="2"/>
  <c r="C43" i="2" s="1"/>
  <c r="C44" i="2" s="1"/>
  <c r="C45" i="2" s="1"/>
  <c r="I16" i="1" s="1"/>
  <c r="G11" i="1"/>
  <c r="D54" i="2"/>
  <c r="G15" i="1"/>
  <c r="H15" i="1"/>
  <c r="H19" i="2" l="1"/>
  <c r="I15" i="1"/>
  <c r="C29" i="2"/>
  <c r="C31" i="2" s="1"/>
  <c r="C11" i="2"/>
  <c r="C28" i="2"/>
  <c r="C32" i="2" s="1"/>
  <c r="H12" i="1" s="1"/>
  <c r="D16" i="2"/>
  <c r="E17" i="2" s="1"/>
  <c r="G16" i="1"/>
  <c r="C16" i="2"/>
  <c r="C14" i="2"/>
  <c r="G14" i="1"/>
  <c r="G13" i="1" s="1"/>
  <c r="C47" i="2"/>
  <c r="C46" i="2"/>
  <c r="H17" i="1" l="1"/>
  <c r="C48" i="2"/>
  <c r="C12" i="2"/>
  <c r="G12" i="1"/>
  <c r="C34" i="2"/>
  <c r="H14" i="1"/>
  <c r="H13" i="1" s="1"/>
  <c r="D34" i="2"/>
  <c r="E34" i="2"/>
  <c r="C17" i="2"/>
  <c r="D52" i="2"/>
  <c r="C50" i="2"/>
  <c r="I12" i="1" s="1"/>
  <c r="I14" i="1"/>
  <c r="I13" i="1" s="1"/>
  <c r="C52" i="2"/>
  <c r="E52" i="2"/>
  <c r="C13" i="2" l="1"/>
  <c r="G17" i="1" s="1"/>
  <c r="C49" i="2"/>
  <c r="I17" i="1" s="1"/>
  <c r="C35" i="2"/>
  <c r="C36" i="2" s="1"/>
  <c r="C37" i="2" s="1"/>
  <c r="C38" i="2" s="1"/>
  <c r="H18" i="1" s="1"/>
  <c r="E35" i="2"/>
  <c r="E36" i="2" s="1"/>
  <c r="E37" i="2" s="1"/>
  <c r="E38" i="2" s="1"/>
  <c r="H19" i="1" s="1"/>
  <c r="C53" i="2"/>
  <c r="E53" i="2"/>
  <c r="E54" i="2" l="1"/>
  <c r="E55" i="2" s="1"/>
  <c r="E56" i="2" s="1"/>
  <c r="I19" i="1" s="1"/>
  <c r="C54" i="2"/>
  <c r="C55" i="2" s="1"/>
  <c r="C56" i="2" s="1"/>
  <c r="I18" i="1" s="1"/>
  <c r="C18" i="2"/>
  <c r="C19" i="2" s="1"/>
  <c r="C20" i="2" s="1"/>
  <c r="G18" i="1" s="1"/>
  <c r="E18" i="2"/>
  <c r="E19" i="2" s="1"/>
  <c r="E20" i="2" s="1"/>
  <c r="G19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Scott Donnell</author>
  </authors>
  <commentList>
    <comment ref="C4" authorId="0" shapeId="0" xr:uid="{A93A3717-E986-4235-AA90-A27600DFEE5B}">
      <text>
        <r>
          <rPr>
            <b/>
            <sz val="9"/>
            <color indexed="81"/>
            <rFont val="Tahoma"/>
            <family val="2"/>
          </rPr>
          <t xml:space="preserve">Slit Orientation: Select from Drop-Down List
</t>
        </r>
        <r>
          <rPr>
            <sz val="9"/>
            <color indexed="81"/>
            <rFont val="Tahoma"/>
            <family val="2"/>
          </rPr>
          <t>Slit Perpendicular to Horizon - Slit is aligned with dispersion
Slit Parallel to RA/Hour Circles - Slit is aligned with pole
Slit Parallel to Celestial Equator - Slit is aligned with Dec circles</t>
        </r>
      </text>
    </comment>
    <comment ref="C8" authorId="0" shapeId="0" xr:uid="{64FBB252-6D24-4604-BC91-02CA8E14FFF5}">
      <text>
        <r>
          <rPr>
            <b/>
            <sz val="9"/>
            <color indexed="81"/>
            <rFont val="Tahoma"/>
            <family val="2"/>
          </rPr>
          <t xml:space="preserve">Format:
</t>
        </r>
        <r>
          <rPr>
            <sz val="9"/>
            <color indexed="81"/>
            <rFont val="Tahoma"/>
            <family val="2"/>
          </rPr>
          <t>hh:mm:ss</t>
        </r>
      </text>
    </comment>
    <comment ref="C9" authorId="0" shapeId="0" xr:uid="{CA058EEC-D7A1-4FD2-8E1E-78F75D41854D}">
      <text>
        <r>
          <rPr>
            <b/>
            <sz val="9"/>
            <color indexed="81"/>
            <rFont val="Tahoma"/>
            <family val="2"/>
          </rPr>
          <t>Formats:</t>
        </r>
        <r>
          <rPr>
            <sz val="9"/>
            <color indexed="81"/>
            <rFont val="Tahoma"/>
            <family val="2"/>
          </rPr>
          <t xml:space="preserve">
dd:mm:ss
+dd:mm:ss
-dd:mm:ss</t>
        </r>
      </text>
    </comment>
    <comment ref="C12" authorId="0" shapeId="0" xr:uid="{7137CB80-B6EA-4F69-BC85-FE0E88BD00DC}">
      <text>
        <r>
          <rPr>
            <b/>
            <sz val="9"/>
            <color indexed="81"/>
            <rFont val="Tahoma"/>
            <family val="2"/>
          </rPr>
          <t xml:space="preserve">Format:
</t>
        </r>
        <r>
          <rPr>
            <sz val="9"/>
            <color indexed="81"/>
            <rFont val="Tahoma"/>
            <family val="2"/>
          </rPr>
          <t>dd/mm/yyyy</t>
        </r>
      </text>
    </comment>
    <comment ref="C13" authorId="0" shapeId="0" xr:uid="{01218290-14C0-48C8-B86E-DA4B21DDD3AF}">
      <text>
        <r>
          <rPr>
            <b/>
            <sz val="9"/>
            <color indexed="81"/>
            <rFont val="Tahoma"/>
            <family val="2"/>
          </rPr>
          <t xml:space="preserve">Format:
</t>
        </r>
        <r>
          <rPr>
            <sz val="9"/>
            <color indexed="81"/>
            <rFont val="Tahoma"/>
            <family val="2"/>
          </rPr>
          <t xml:space="preserve">hh:mm
</t>
        </r>
      </text>
    </comment>
    <comment ref="C18" authorId="0" shapeId="0" xr:uid="{CA22FC51-AE12-4D4F-82F7-46E551C4727A}">
      <text>
        <r>
          <rPr>
            <sz val="9"/>
            <color indexed="81"/>
            <rFont val="Tahoma"/>
            <family val="2"/>
          </rPr>
          <t>Update or use default</t>
        </r>
      </text>
    </comment>
    <comment ref="F18" authorId="0" shapeId="0" xr:uid="{DA8938D0-2E8A-4653-8539-1694EBC67DD5}">
      <text>
        <r>
          <rPr>
            <sz val="9"/>
            <color indexed="81"/>
            <rFont val="Tahoma"/>
            <family val="2"/>
          </rPr>
          <t>Intensity loss relative to a reference wavelength midway between the specified blue and red wavelengths</t>
        </r>
      </text>
    </comment>
    <comment ref="C19" authorId="0" shapeId="0" xr:uid="{D41DA2B9-5909-42A2-98E1-D5ADB74244DE}">
      <text>
        <r>
          <rPr>
            <sz val="9"/>
            <color indexed="81"/>
            <rFont val="Tahoma"/>
            <family val="2"/>
          </rPr>
          <t>Update or use default</t>
        </r>
      </text>
    </comment>
    <comment ref="F19" authorId="0" shapeId="0" xr:uid="{4D275485-D526-44A5-AE03-B808A785C91A}">
      <text>
        <r>
          <rPr>
            <sz val="9"/>
            <color indexed="81"/>
            <rFont val="Tahoma"/>
            <family val="2"/>
          </rPr>
          <t xml:space="preserve">Intensity loss relative to a reference wavelength midway between the specified blue and red wavelengths
</t>
        </r>
      </text>
    </comment>
    <comment ref="C20" authorId="0" shapeId="0" xr:uid="{F1B1F712-7A0E-4D09-AD59-22BC113302DB}">
      <text>
        <r>
          <rPr>
            <sz val="9"/>
            <color indexed="81"/>
            <rFont val="Tahoma"/>
            <family val="2"/>
          </rPr>
          <t xml:space="preserve">Update or use default
</t>
        </r>
      </text>
    </comment>
  </commentList>
</comments>
</file>

<file path=xl/sharedStrings.xml><?xml version="1.0" encoding="utf-8"?>
<sst xmlns="http://schemas.openxmlformats.org/spreadsheetml/2006/main" count="190" uniqueCount="86">
  <si>
    <t>Slit Loss Calculator</t>
  </si>
  <si>
    <t>Version 1.0, Jan 2024</t>
  </si>
  <si>
    <t>Results</t>
  </si>
  <si>
    <t>Slit Orientation</t>
  </si>
  <si>
    <t>Object ID</t>
  </si>
  <si>
    <t>Exposure Start Time</t>
  </si>
  <si>
    <t>Calculated Parameters</t>
  </si>
  <si>
    <t>RA</t>
  </si>
  <si>
    <t>hh:mm:ss</t>
  </si>
  <si>
    <t>UTC</t>
  </si>
  <si>
    <t>J2000 Epoch</t>
  </si>
  <si>
    <t>Object Parameters</t>
  </si>
  <si>
    <t>Dec</t>
  </si>
  <si>
    <t>+/-dd:mm:ss</t>
  </si>
  <si>
    <t>Days Since J2000 Epoch</t>
  </si>
  <si>
    <t>deg</t>
  </si>
  <si>
    <t>Date</t>
  </si>
  <si>
    <t>GMST</t>
  </si>
  <si>
    <t>J2000 RA</t>
  </si>
  <si>
    <t>Start</t>
  </si>
  <si>
    <t>Mid</t>
  </si>
  <si>
    <t>End</t>
  </si>
  <si>
    <t>LMST</t>
  </si>
  <si>
    <t>Slit Width</t>
  </si>
  <si>
    <t>arcsec</t>
  </si>
  <si>
    <t>J2000 Dec</t>
  </si>
  <si>
    <t>Time</t>
  </si>
  <si>
    <t>Hour Angle</t>
  </si>
  <si>
    <t>Slit Length</t>
  </si>
  <si>
    <t>Azimuth</t>
  </si>
  <si>
    <t>Zenith Angle</t>
  </si>
  <si>
    <t>Reference Wavelength</t>
  </si>
  <si>
    <t>nm</t>
  </si>
  <si>
    <t>Exposure Parameters</t>
  </si>
  <si>
    <t>Parallactic Angle</t>
  </si>
  <si>
    <t>Delta PA</t>
  </si>
  <si>
    <t>Exposure Mid Time Parameters</t>
  </si>
  <si>
    <t>Exposure Mid Time</t>
  </si>
  <si>
    <t>Local Mean Sidereal Time</t>
  </si>
  <si>
    <t>hrs</t>
  </si>
  <si>
    <t>PA Adjusted for Slit Orientation</t>
  </si>
  <si>
    <t>Exposure Duration</t>
  </si>
  <si>
    <t>sec</t>
  </si>
  <si>
    <t>Slit Loss Calculations</t>
  </si>
  <si>
    <t>Seeing and Atmosphere Conditions</t>
  </si>
  <si>
    <t>Dispersion</t>
  </si>
  <si>
    <t>Seeing</t>
  </si>
  <si>
    <t>Relative Dispersion (arcsec)</t>
  </si>
  <si>
    <t>Atmospheric Pressure</t>
  </si>
  <si>
    <t>mm Hg</t>
  </si>
  <si>
    <t>Intensity</t>
  </si>
  <si>
    <t>Temperature</t>
  </si>
  <si>
    <t>C</t>
  </si>
  <si>
    <t>S.  Donnell, Kiowa Creek Observatory</t>
  </si>
  <si>
    <t>Relative Intensity</t>
  </si>
  <si>
    <t>Water Vapor Pressure</t>
  </si>
  <si>
    <t>Peyton, Colorado USA</t>
  </si>
  <si>
    <t>Relative Light Loss</t>
  </si>
  <si>
    <t>donnellsp@gmail.com</t>
  </si>
  <si>
    <t>Observing Location</t>
  </si>
  <si>
    <t>Slit Perpendicular to Horizon</t>
  </si>
  <si>
    <t>Longitude</t>
  </si>
  <si>
    <t>degE</t>
  </si>
  <si>
    <t>Latitude</t>
  </si>
  <si>
    <t>Slit Parallel to CE</t>
  </si>
  <si>
    <t>Selected Value</t>
  </si>
  <si>
    <t>Spectrometer Configuration</t>
  </si>
  <si>
    <t>Scope Focal Length</t>
  </si>
  <si>
    <t>mm</t>
  </si>
  <si>
    <t>microns</t>
  </si>
  <si>
    <t>Wavelength Range</t>
  </si>
  <si>
    <t>Blue Wavelength</t>
  </si>
  <si>
    <t>Red  Wavelength</t>
  </si>
  <si>
    <t>Exposure End Time</t>
  </si>
  <si>
    <t>Refractive Index</t>
  </si>
  <si>
    <t>Wavelength</t>
  </si>
  <si>
    <t>Wavelength (microns)</t>
  </si>
  <si>
    <t>Index of Refraction</t>
  </si>
  <si>
    <t>Data Sheet - Make No Changes!</t>
  </si>
  <si>
    <r>
      <t xml:space="preserve">Elevation </t>
    </r>
    <r>
      <rPr>
        <i/>
        <sz val="11"/>
        <color theme="1"/>
        <rFont val="Calibri"/>
        <family val="2"/>
        <scheme val="minor"/>
      </rPr>
      <t>(unrefracted)</t>
    </r>
  </si>
  <si>
    <t>Slit Orientation Selection Drop-Down List</t>
  </si>
  <si>
    <t>UTC Date</t>
  </si>
  <si>
    <t>Slit Parallel to RA/Hour Circles</t>
  </si>
  <si>
    <t>Test</t>
  </si>
  <si>
    <t>00:00:00</t>
  </si>
  <si>
    <t>60:00:00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</si>
</sst>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hh:mm:ss;@"/>
    <numFmt numFmtId="165" formatCode="yyyy\-mm\-dd\ hh:mm;@"/>
    <numFmt numFmtId="166" formatCode="0.000"/>
    <numFmt numFmtId="167" formatCode="0.0"/>
    <numFmt numFmtId="168" formatCode="0.000000"/>
    <numFmt numFmtId="169" formatCode="0.000%"/>
    <numFmt numFmtId="170" formatCode="0.0000"/>
  </numFmts>
  <fonts count="11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i/>
      <sz val="11"/>
      <name val="Calibri"/>
      <family val="2"/>
      <scheme val="minor"/>
    </font>
    <font>
      <i/>
      <u/>
      <sz val="11"/>
      <color theme="1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ECFF"/>
        <bgColor indexed="64"/>
      </patternFill>
    </fill>
  </fills>
  <borders count="2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84">
    <xf numFmtId="0" fontId="0" fillId="0" borderId="0" xfId="0"/>
    <xf numFmtId="0" fontId="2" fillId="0" borderId="0" xfId="0" applyFont="1"/>
    <xf numFmtId="0" fontId="0" fillId="0" borderId="0" xfId="0" applyAlignment="1">
      <alignment horizontal="right"/>
    </xf>
    <xf numFmtId="0" fontId="4" fillId="0" borderId="0" xfId="0" applyFont="1"/>
    <xf numFmtId="0" fontId="4" fillId="0" borderId="3" xfId="0" applyFont="1" applyBorder="1"/>
    <xf numFmtId="0" fontId="0" fillId="0" borderId="4" xfId="0" applyBorder="1" applyAlignment="1">
      <alignment horizontal="right"/>
    </xf>
    <xf numFmtId="0" fontId="4" fillId="0" borderId="4" xfId="0" applyFont="1" applyBorder="1"/>
    <xf numFmtId="0" fontId="0" fillId="0" borderId="5" xfId="0" applyBorder="1"/>
    <xf numFmtId="49" fontId="0" fillId="0" borderId="0" xfId="0" applyNumberFormat="1"/>
    <xf numFmtId="0" fontId="4" fillId="0" borderId="6" xfId="0" applyFont="1" applyBorder="1"/>
    <xf numFmtId="49" fontId="0" fillId="0" borderId="0" xfId="0" applyNumberFormat="1" applyAlignment="1">
      <alignment horizontal="right"/>
    </xf>
    <xf numFmtId="0" fontId="0" fillId="0" borderId="7" xfId="0" applyBorder="1"/>
    <xf numFmtId="0" fontId="0" fillId="0" borderId="8" xfId="0" applyBorder="1"/>
    <xf numFmtId="164" fontId="0" fillId="0" borderId="9" xfId="0" applyNumberFormat="1" applyBorder="1"/>
    <xf numFmtId="0" fontId="0" fillId="0" borderId="9" xfId="0" applyBorder="1"/>
    <xf numFmtId="0" fontId="0" fillId="0" borderId="10" xfId="0" applyBorder="1"/>
    <xf numFmtId="0" fontId="0" fillId="0" borderId="3" xfId="0" applyBorder="1"/>
    <xf numFmtId="165" fontId="0" fillId="0" borderId="4" xfId="0" applyNumberFormat="1" applyBorder="1"/>
    <xf numFmtId="0" fontId="0" fillId="0" borderId="11" xfId="0" applyBorder="1"/>
    <xf numFmtId="2" fontId="0" fillId="0" borderId="0" xfId="0" applyNumberFormat="1"/>
    <xf numFmtId="0" fontId="0" fillId="0" borderId="12" xfId="0" applyBorder="1"/>
    <xf numFmtId="0" fontId="0" fillId="0" borderId="6" xfId="0" applyBorder="1"/>
    <xf numFmtId="166" fontId="0" fillId="0" borderId="0" xfId="0" applyNumberFormat="1"/>
    <xf numFmtId="0" fontId="0" fillId="2" borderId="4" xfId="0" applyFill="1" applyBorder="1" applyAlignment="1">
      <alignment horizontal="right"/>
    </xf>
    <xf numFmtId="14" fontId="4" fillId="0" borderId="6" xfId="0" applyNumberFormat="1" applyFont="1" applyBorder="1" applyAlignment="1">
      <alignment horizontal="left"/>
    </xf>
    <xf numFmtId="14" fontId="0" fillId="0" borderId="0" xfId="0" applyNumberFormat="1"/>
    <xf numFmtId="49" fontId="0" fillId="2" borderId="0" xfId="0" applyNumberFormat="1" applyFill="1" applyAlignment="1">
      <alignment horizontal="right"/>
    </xf>
    <xf numFmtId="49" fontId="0" fillId="0" borderId="7" xfId="0" applyNumberFormat="1" applyBorder="1"/>
    <xf numFmtId="167" fontId="0" fillId="0" borderId="0" xfId="0" applyNumberFormat="1"/>
    <xf numFmtId="0" fontId="0" fillId="0" borderId="13" xfId="0" applyBorder="1"/>
    <xf numFmtId="49" fontId="0" fillId="2" borderId="14" xfId="0" quotePrefix="1" applyNumberFormat="1" applyFill="1" applyBorder="1" applyAlignment="1">
      <alignment horizontal="right"/>
    </xf>
    <xf numFmtId="49" fontId="0" fillId="0" borderId="15" xfId="0" applyNumberFormat="1" applyBorder="1"/>
    <xf numFmtId="164" fontId="0" fillId="0" borderId="0" xfId="0" applyNumberFormat="1"/>
    <xf numFmtId="49" fontId="0" fillId="0" borderId="0" xfId="0" quotePrefix="1" applyNumberFormat="1" applyAlignment="1">
      <alignment horizontal="right"/>
    </xf>
    <xf numFmtId="4" fontId="0" fillId="0" borderId="0" xfId="0" applyNumberFormat="1"/>
    <xf numFmtId="0" fontId="0" fillId="0" borderId="14" xfId="0" applyBorder="1"/>
    <xf numFmtId="0" fontId="5" fillId="0" borderId="15" xfId="0" applyFont="1" applyBorder="1"/>
    <xf numFmtId="14" fontId="0" fillId="2" borderId="4" xfId="0" applyNumberFormat="1" applyFill="1" applyBorder="1"/>
    <xf numFmtId="20" fontId="0" fillId="2" borderId="0" xfId="0" applyNumberFormat="1" applyFill="1"/>
    <xf numFmtId="164" fontId="0" fillId="0" borderId="4" xfId="0" applyNumberFormat="1" applyBorder="1"/>
    <xf numFmtId="0" fontId="0" fillId="2" borderId="14" xfId="0" applyFill="1" applyBorder="1"/>
    <xf numFmtId="0" fontId="0" fillId="0" borderId="15" xfId="0" applyBorder="1"/>
    <xf numFmtId="0" fontId="3" fillId="0" borderId="11" xfId="0" applyFont="1" applyBorder="1"/>
    <xf numFmtId="0" fontId="0" fillId="0" borderId="12" xfId="0" applyBorder="1" applyAlignment="1">
      <alignment horizontal="right"/>
    </xf>
    <xf numFmtId="10" fontId="0" fillId="3" borderId="0" xfId="0" applyNumberFormat="1" applyFill="1"/>
    <xf numFmtId="167" fontId="0" fillId="0" borderId="12" xfId="0" applyNumberFormat="1" applyBorder="1"/>
    <xf numFmtId="0" fontId="0" fillId="2" borderId="4" xfId="0" applyFill="1" applyBorder="1"/>
    <xf numFmtId="0" fontId="4" fillId="0" borderId="13" xfId="0" applyFont="1" applyBorder="1"/>
    <xf numFmtId="10" fontId="0" fillId="3" borderId="14" xfId="0" applyNumberFormat="1" applyFill="1" applyBorder="1"/>
    <xf numFmtId="166" fontId="0" fillId="0" borderId="12" xfId="0" applyNumberFormat="1" applyBorder="1"/>
    <xf numFmtId="168" fontId="0" fillId="0" borderId="0" xfId="0" applyNumberFormat="1"/>
    <xf numFmtId="168" fontId="0" fillId="0" borderId="12" xfId="0" applyNumberFormat="1" applyBorder="1"/>
    <xf numFmtId="4" fontId="0" fillId="0" borderId="14" xfId="0" applyNumberFormat="1" applyBorder="1"/>
    <xf numFmtId="0" fontId="0" fillId="0" borderId="16" xfId="0" applyBorder="1"/>
    <xf numFmtId="169" fontId="0" fillId="0" borderId="17" xfId="0" applyNumberFormat="1" applyBorder="1"/>
    <xf numFmtId="169" fontId="0" fillId="0" borderId="18" xfId="0" applyNumberFormat="1" applyBorder="1"/>
    <xf numFmtId="0" fontId="0" fillId="0" borderId="4" xfId="0" applyBorder="1"/>
    <xf numFmtId="170" fontId="0" fillId="2" borderId="4" xfId="0" applyNumberFormat="1" applyFill="1" applyBorder="1"/>
    <xf numFmtId="170" fontId="0" fillId="2" borderId="14" xfId="0" applyNumberFormat="1" applyFill="1" applyBorder="1"/>
    <xf numFmtId="0" fontId="0" fillId="2" borderId="0" xfId="0" applyFill="1"/>
    <xf numFmtId="167" fontId="0" fillId="2" borderId="14" xfId="0" applyNumberFormat="1" applyFill="1" applyBorder="1"/>
    <xf numFmtId="0" fontId="5" fillId="0" borderId="0" xfId="0" applyFont="1"/>
    <xf numFmtId="0" fontId="5" fillId="0" borderId="5" xfId="0" applyFont="1" applyBorder="1"/>
    <xf numFmtId="170" fontId="0" fillId="0" borderId="0" xfId="0" applyNumberFormat="1"/>
    <xf numFmtId="169" fontId="0" fillId="0" borderId="0" xfId="0" applyNumberFormat="1"/>
    <xf numFmtId="0" fontId="0" fillId="0" borderId="9" xfId="0" applyBorder="1" applyAlignment="1">
      <alignment horizontal="right"/>
    </xf>
    <xf numFmtId="0" fontId="0" fillId="0" borderId="10" xfId="0" applyBorder="1" applyAlignment="1">
      <alignment horizontal="right"/>
    </xf>
    <xf numFmtId="170" fontId="0" fillId="0" borderId="12" xfId="0" applyNumberFormat="1" applyBorder="1"/>
    <xf numFmtId="168" fontId="0" fillId="0" borderId="17" xfId="0" applyNumberFormat="1" applyBorder="1"/>
    <xf numFmtId="168" fontId="0" fillId="0" borderId="18" xfId="0" applyNumberFormat="1" applyBorder="1"/>
    <xf numFmtId="0" fontId="1" fillId="0" borderId="0" xfId="0" applyFont="1"/>
    <xf numFmtId="14" fontId="4" fillId="0" borderId="19" xfId="0" applyNumberFormat="1" applyFont="1" applyBorder="1" applyAlignment="1">
      <alignment horizontal="left"/>
    </xf>
    <xf numFmtId="0" fontId="4" fillId="0" borderId="9" xfId="0" applyFont="1" applyBorder="1"/>
    <xf numFmtId="0" fontId="0" fillId="0" borderId="20" xfId="0" applyBorder="1"/>
    <xf numFmtId="0" fontId="0" fillId="0" borderId="0" xfId="0" applyAlignment="1">
      <alignment horizontal="center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2" borderId="1" xfId="0" applyFill="1" applyBorder="1"/>
    <xf numFmtId="0" fontId="0" fillId="0" borderId="2" xfId="0" applyBorder="1"/>
    <xf numFmtId="0" fontId="3" fillId="0" borderId="0" xfId="0" applyFont="1" applyAlignment="1">
      <alignment horizontal="left"/>
    </xf>
    <xf numFmtId="0" fontId="7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14" fontId="0" fillId="0" borderId="17" xfId="0" applyNumberFormat="1" applyBorder="1" applyAlignment="1">
      <alignment horizontal="center"/>
    </xf>
    <xf numFmtId="0" fontId="0" fillId="0" borderId="17" xfId="0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428666</xdr:colOff>
      <xdr:row>3</xdr:row>
      <xdr:rowOff>66676</xdr:rowOff>
    </xdr:from>
    <xdr:to>
      <xdr:col>9</xdr:col>
      <xdr:colOff>355220</xdr:colOff>
      <xdr:row>6</xdr:row>
      <xdr:rowOff>133350</xdr:rowOff>
    </xdr:to>
    <xdr:pic>
      <xdr:nvPicPr>
        <xdr:cNvPr id="2" name="Picture 1" descr="Logo&#10;&#10;Description automatically generated">
          <a:extLst>
            <a:ext uri="{FF2B5EF4-FFF2-40B4-BE49-F238E27FC236}">
              <a16:creationId xmlns:a16="http://schemas.microsoft.com/office/drawing/2014/main" id="{887E235E-B655-48AA-A4BC-5DBB1DE2C8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15366" y="723901"/>
          <a:ext cx="659979" cy="657224"/>
        </a:xfrm>
        <a:prstGeom prst="rect">
          <a:avLst/>
        </a:prstGeom>
        <a:ln w="22225">
          <a:solidFill>
            <a:schemeClr val="accent1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donnellsp@gmail.com" TargetMode="External"/><Relationship Id="rId1" Type="http://schemas.openxmlformats.org/officeDocument/2006/relationships/hyperlink" Target="mailto:donnellsp@gmail.com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36529D-E340-40F2-975C-2403F88407BB}">
  <sheetPr>
    <tabColor theme="9" tint="0.59999389629810485"/>
    <pageSetUpPr fitToPage="1"/>
  </sheetPr>
  <dimension ref="B2:K62"/>
  <sheetViews>
    <sheetView tabSelected="1" workbookViewId="0">
      <selection activeCell="C4" sqref="C4:D4"/>
    </sheetView>
  </sheetViews>
  <sheetFormatPr defaultRowHeight="15" x14ac:dyDescent="0.25"/>
  <cols>
    <col min="1" max="1" width="3.7109375" customWidth="1"/>
    <col min="2" max="2" width="25.7109375" customWidth="1"/>
    <col min="3" max="3" width="15.7109375" customWidth="1"/>
    <col min="4" max="4" width="12.7109375" customWidth="1"/>
    <col min="5" max="5" width="5.7109375" customWidth="1"/>
    <col min="6" max="6" width="26.28515625" bestFit="1" customWidth="1"/>
    <col min="7" max="7" width="15.7109375" customWidth="1"/>
    <col min="8" max="8" width="12.7109375" customWidth="1"/>
    <col min="9" max="9" width="11" customWidth="1"/>
    <col min="10" max="10" width="6.42578125" customWidth="1"/>
  </cols>
  <sheetData>
    <row r="2" spans="2:10" ht="21" x14ac:dyDescent="0.35">
      <c r="B2" s="1" t="s">
        <v>0</v>
      </c>
      <c r="C2" s="75" t="s">
        <v>1</v>
      </c>
      <c r="D2" s="76"/>
      <c r="F2" s="1" t="s">
        <v>2</v>
      </c>
    </row>
    <row r="3" spans="2:10" ht="15.75" thickBot="1" x14ac:dyDescent="0.3"/>
    <row r="4" spans="2:10" ht="15.75" thickBot="1" x14ac:dyDescent="0.3">
      <c r="B4" s="3" t="s">
        <v>3</v>
      </c>
      <c r="C4" s="77" t="s">
        <v>64</v>
      </c>
      <c r="D4" s="78"/>
      <c r="F4" s="4" t="s">
        <v>4</v>
      </c>
      <c r="G4" s="5" t="str">
        <f>C7</f>
        <v>Test</v>
      </c>
      <c r="H4" s="6"/>
      <c r="I4" s="6"/>
      <c r="J4" s="7"/>
    </row>
    <row r="5" spans="2:10" x14ac:dyDescent="0.25">
      <c r="E5" s="8"/>
      <c r="F5" s="9" t="s">
        <v>7</v>
      </c>
      <c r="G5" s="10" t="str">
        <f>C8</f>
        <v>00:00:00</v>
      </c>
      <c r="H5" s="8" t="s">
        <v>8</v>
      </c>
      <c r="I5" s="3"/>
      <c r="J5" s="11"/>
    </row>
    <row r="6" spans="2:10" ht="15.75" thickBot="1" x14ac:dyDescent="0.3">
      <c r="B6" s="3" t="s">
        <v>11</v>
      </c>
      <c r="E6" s="8"/>
      <c r="F6" s="9" t="s">
        <v>12</v>
      </c>
      <c r="G6" s="10" t="str">
        <f>C9</f>
        <v>60:00:00</v>
      </c>
      <c r="H6" s="8" t="s">
        <v>13</v>
      </c>
      <c r="I6" s="3"/>
      <c r="J6" s="11"/>
    </row>
    <row r="7" spans="2:10" x14ac:dyDescent="0.25">
      <c r="B7" s="16" t="s">
        <v>4</v>
      </c>
      <c r="C7" s="23" t="s">
        <v>83</v>
      </c>
      <c r="D7" s="7"/>
      <c r="E7" s="22"/>
      <c r="F7" s="24" t="s">
        <v>81</v>
      </c>
      <c r="G7" s="25">
        <f>C12</f>
        <v>45556</v>
      </c>
      <c r="H7" s="3"/>
      <c r="I7" s="3"/>
      <c r="J7" s="11"/>
    </row>
    <row r="8" spans="2:10" x14ac:dyDescent="0.25">
      <c r="B8" s="21" t="s">
        <v>18</v>
      </c>
      <c r="C8" s="26" t="s">
        <v>84</v>
      </c>
      <c r="D8" s="27" t="s">
        <v>8</v>
      </c>
      <c r="F8" s="24" t="s">
        <v>31</v>
      </c>
      <c r="G8">
        <f>Data!H10</f>
        <v>550</v>
      </c>
      <c r="H8" s="3" t="s">
        <v>32</v>
      </c>
      <c r="I8" s="3"/>
      <c r="J8" s="11"/>
    </row>
    <row r="9" spans="2:10" ht="15.75" thickBot="1" x14ac:dyDescent="0.3">
      <c r="B9" s="29" t="s">
        <v>25</v>
      </c>
      <c r="C9" s="30" t="s">
        <v>85</v>
      </c>
      <c r="D9" s="31" t="s">
        <v>13</v>
      </c>
      <c r="F9" s="24" t="s">
        <v>3</v>
      </c>
      <c r="G9" s="82" t="str">
        <f>C4</f>
        <v>Slit Parallel to CE</v>
      </c>
      <c r="H9" s="83"/>
      <c r="I9" s="74"/>
      <c r="J9" s="11"/>
    </row>
    <row r="10" spans="2:10" x14ac:dyDescent="0.25">
      <c r="C10" s="33"/>
      <c r="D10" s="22"/>
      <c r="F10" s="71"/>
      <c r="G10" s="72" t="s">
        <v>19</v>
      </c>
      <c r="H10" s="72" t="s">
        <v>20</v>
      </c>
      <c r="I10" s="72" t="s">
        <v>21</v>
      </c>
      <c r="J10" s="73"/>
    </row>
    <row r="11" spans="2:10" ht="15.75" thickBot="1" x14ac:dyDescent="0.3">
      <c r="B11" s="3" t="s">
        <v>33</v>
      </c>
      <c r="F11" s="9" t="s">
        <v>26</v>
      </c>
      <c r="G11" s="32">
        <f>Data!C5</f>
        <v>45556.124652777777</v>
      </c>
      <c r="H11" s="32">
        <f>Data!C23</f>
        <v>45556.125</v>
      </c>
      <c r="I11" s="32">
        <f>Data!C41</f>
        <v>45556.125347222223</v>
      </c>
      <c r="J11" s="11" t="s">
        <v>9</v>
      </c>
    </row>
    <row r="12" spans="2:10" x14ac:dyDescent="0.25">
      <c r="B12" s="16" t="s">
        <v>16</v>
      </c>
      <c r="C12" s="37">
        <v>45556</v>
      </c>
      <c r="D12" s="7" t="s">
        <v>9</v>
      </c>
      <c r="F12" s="9" t="s">
        <v>29</v>
      </c>
      <c r="G12" s="19">
        <f>IF(G16&gt;0,360-Data!C14,Data!C14)</f>
        <v>320.88779314730903</v>
      </c>
      <c r="H12" s="19">
        <f>IF(H16&gt;0,360-Data!C32,Data!C32)</f>
        <v>320.85941879712652</v>
      </c>
      <c r="I12" s="19">
        <f>IF(I16&gt;0,360-Data!C50,Data!C50)</f>
        <v>320.83133498581276</v>
      </c>
      <c r="J12" s="11" t="s">
        <v>15</v>
      </c>
    </row>
    <row r="13" spans="2:10" x14ac:dyDescent="0.25">
      <c r="B13" s="21" t="s">
        <v>37</v>
      </c>
      <c r="C13" s="38">
        <v>0.125</v>
      </c>
      <c r="D13" s="11" t="s">
        <v>9</v>
      </c>
      <c r="F13" s="9" t="s">
        <v>79</v>
      </c>
      <c r="G13" s="34">
        <f>90-G14</f>
        <v>55.669114795375279</v>
      </c>
      <c r="H13" s="34">
        <f>90-H14</f>
        <v>55.608524388442042</v>
      </c>
      <c r="I13" s="34">
        <f>90-I14</f>
        <v>55.5478972900844</v>
      </c>
      <c r="J13" s="11" t="s">
        <v>15</v>
      </c>
    </row>
    <row r="14" spans="2:10" ht="15.75" thickBot="1" x14ac:dyDescent="0.3">
      <c r="B14" s="29" t="s">
        <v>41</v>
      </c>
      <c r="C14" s="40">
        <v>60</v>
      </c>
      <c r="D14" s="41" t="s">
        <v>42</v>
      </c>
      <c r="F14" s="9" t="s">
        <v>30</v>
      </c>
      <c r="G14" s="34">
        <f>Data!C10</f>
        <v>34.330885204624721</v>
      </c>
      <c r="H14" s="34">
        <f>Data!C28</f>
        <v>34.391475611557958</v>
      </c>
      <c r="I14" s="34">
        <f>Data!C46</f>
        <v>34.4521027099156</v>
      </c>
      <c r="J14" s="11" t="s">
        <v>15</v>
      </c>
    </row>
    <row r="15" spans="2:10" x14ac:dyDescent="0.25">
      <c r="F15" s="9" t="s">
        <v>38</v>
      </c>
      <c r="G15" s="19">
        <f>Data!C8/15</f>
        <v>3.0240917311670881</v>
      </c>
      <c r="H15" s="19">
        <f>Data!C26/15</f>
        <v>3.0324478804133834</v>
      </c>
      <c r="I15" s="19">
        <f>Data!C44/15</f>
        <v>3.0408040296907228</v>
      </c>
      <c r="J15" s="11" t="s">
        <v>39</v>
      </c>
    </row>
    <row r="16" spans="2:10" ht="15.75" thickBot="1" x14ac:dyDescent="0.3">
      <c r="B16" s="3" t="s">
        <v>44</v>
      </c>
      <c r="F16" s="9" t="s">
        <v>27</v>
      </c>
      <c r="G16" s="19">
        <f>IF(Data!C9&lt;-180,360+Data!C9,IF(Data!C9&gt;180,Data!C9-360,Data!C9))/15</f>
        <v>3.0240917311670881</v>
      </c>
      <c r="H16" s="19">
        <f>IF(Data!C27&lt;-180,360+Data!C27,IF(Data!C27&gt;180,Data!C27-360,Data!C27))/15</f>
        <v>3.0324478804133834</v>
      </c>
      <c r="I16" s="19">
        <f>IF(Data!C45&lt;-180,360+Data!C45,IF(Data!C45&gt;180,Data!C45-360,Data!C45))/15</f>
        <v>3.0408040296907228</v>
      </c>
      <c r="J16" s="11" t="s">
        <v>39</v>
      </c>
    </row>
    <row r="17" spans="2:11" x14ac:dyDescent="0.25">
      <c r="B17" s="16" t="s">
        <v>46</v>
      </c>
      <c r="C17" s="46">
        <v>2.5</v>
      </c>
      <c r="D17" s="7" t="s">
        <v>24</v>
      </c>
      <c r="F17" s="9" t="s">
        <v>34</v>
      </c>
      <c r="G17" s="34">
        <f>Data!C13</f>
        <v>194.87131666643288</v>
      </c>
      <c r="H17" s="34">
        <f>Data!C31</f>
        <v>194.73934417415256</v>
      </c>
      <c r="I17" s="34">
        <f>Data!C49</f>
        <v>194.60762830042142</v>
      </c>
      <c r="J17" s="11" t="s">
        <v>15</v>
      </c>
    </row>
    <row r="18" spans="2:11" x14ac:dyDescent="0.25">
      <c r="B18" s="21" t="s">
        <v>48</v>
      </c>
      <c r="C18" s="59">
        <v>600</v>
      </c>
      <c r="D18" s="11" t="s">
        <v>49</v>
      </c>
      <c r="F18" s="9" t="str">
        <f>TEXT("Intensity Loss at "&amp;$C$32,0)&amp;" nm"</f>
        <v>Intensity Loss at 400 nm</v>
      </c>
      <c r="G18" s="44">
        <f>-Data!C20</f>
        <v>-4.1924837537089532E-3</v>
      </c>
      <c r="H18" s="44">
        <f>-Data!C38</f>
        <v>-4.1388879209864893E-3</v>
      </c>
      <c r="I18" s="44">
        <f>-Data!C56</f>
        <v>-4.0854436210903122E-3</v>
      </c>
      <c r="J18" s="11"/>
    </row>
    <row r="19" spans="2:11" ht="15.75" thickBot="1" x14ac:dyDescent="0.3">
      <c r="B19" s="21" t="s">
        <v>51</v>
      </c>
      <c r="C19" s="59">
        <v>7</v>
      </c>
      <c r="D19" s="11" t="s">
        <v>52</v>
      </c>
      <c r="F19" s="47" t="str">
        <f>TEXT("Intenisty Loss at "&amp;$C$33,0)&amp;" nm"</f>
        <v>Intenisty Loss at 700 nm</v>
      </c>
      <c r="G19" s="48">
        <f>-Data!E20</f>
        <v>-7.1686815673577264E-4</v>
      </c>
      <c r="H19" s="48">
        <f>-Data!E38</f>
        <v>-7.0769002024506644E-4</v>
      </c>
      <c r="I19" s="48">
        <f>-Data!E56</f>
        <v>-6.9853819136034279E-4</v>
      </c>
      <c r="J19" s="41"/>
    </row>
    <row r="20" spans="2:11" ht="15.75" thickBot="1" x14ac:dyDescent="0.3">
      <c r="B20" s="29" t="s">
        <v>55</v>
      </c>
      <c r="C20" s="40">
        <v>8</v>
      </c>
      <c r="D20" s="41" t="s">
        <v>49</v>
      </c>
    </row>
    <row r="21" spans="2:11" x14ac:dyDescent="0.25">
      <c r="F21" s="79" t="s">
        <v>53</v>
      </c>
      <c r="G21" s="79"/>
    </row>
    <row r="22" spans="2:11" ht="15.75" thickBot="1" x14ac:dyDescent="0.3">
      <c r="B22" s="3" t="s">
        <v>59</v>
      </c>
      <c r="F22" s="80" t="s">
        <v>56</v>
      </c>
      <c r="G22" s="80"/>
    </row>
    <row r="23" spans="2:11" x14ac:dyDescent="0.25">
      <c r="B23" s="16" t="s">
        <v>61</v>
      </c>
      <c r="C23" s="57">
        <v>0</v>
      </c>
      <c r="D23" s="7" t="s">
        <v>62</v>
      </c>
      <c r="F23" s="81" t="s">
        <v>58</v>
      </c>
      <c r="G23" s="79"/>
    </row>
    <row r="24" spans="2:11" ht="15.75" thickBot="1" x14ac:dyDescent="0.3">
      <c r="B24" s="29" t="s">
        <v>63</v>
      </c>
      <c r="C24" s="58">
        <v>40</v>
      </c>
      <c r="D24" s="41" t="s">
        <v>15</v>
      </c>
    </row>
    <row r="26" spans="2:11" ht="15.75" thickBot="1" x14ac:dyDescent="0.3">
      <c r="B26" s="3" t="s">
        <v>66</v>
      </c>
    </row>
    <row r="27" spans="2:11" x14ac:dyDescent="0.25">
      <c r="B27" s="16" t="s">
        <v>67</v>
      </c>
      <c r="C27" s="46">
        <v>1768</v>
      </c>
      <c r="D27" s="7" t="s">
        <v>68</v>
      </c>
    </row>
    <row r="28" spans="2:11" x14ac:dyDescent="0.25">
      <c r="B28" s="21" t="s">
        <v>23</v>
      </c>
      <c r="C28" s="59">
        <v>25</v>
      </c>
      <c r="D28" s="11" t="s">
        <v>69</v>
      </c>
    </row>
    <row r="29" spans="2:11" ht="15.75" thickBot="1" x14ac:dyDescent="0.3">
      <c r="B29" s="29" t="s">
        <v>28</v>
      </c>
      <c r="C29" s="60">
        <v>250</v>
      </c>
      <c r="D29" s="41" t="s">
        <v>69</v>
      </c>
      <c r="E29" s="61"/>
    </row>
    <row r="30" spans="2:11" x14ac:dyDescent="0.25">
      <c r="E30" s="61"/>
    </row>
    <row r="31" spans="2:11" ht="15.75" thickBot="1" x14ac:dyDescent="0.3">
      <c r="B31" s="3" t="s">
        <v>70</v>
      </c>
    </row>
    <row r="32" spans="2:11" x14ac:dyDescent="0.25">
      <c r="B32" s="16" t="s">
        <v>71</v>
      </c>
      <c r="C32" s="46">
        <v>400</v>
      </c>
      <c r="D32" s="62" t="s">
        <v>32</v>
      </c>
      <c r="K32" s="28"/>
    </row>
    <row r="33" spans="2:11" ht="15.75" thickBot="1" x14ac:dyDescent="0.3">
      <c r="B33" s="29" t="s">
        <v>72</v>
      </c>
      <c r="C33" s="40">
        <v>700</v>
      </c>
      <c r="D33" s="36" t="s">
        <v>32</v>
      </c>
      <c r="K33" s="63"/>
    </row>
    <row r="36" spans="2:11" x14ac:dyDescent="0.25">
      <c r="B36" s="3"/>
    </row>
    <row r="38" spans="2:11" x14ac:dyDescent="0.25">
      <c r="E38" s="61"/>
    </row>
    <row r="44" spans="2:11" x14ac:dyDescent="0.25">
      <c r="I44" s="61"/>
      <c r="J44" s="61"/>
    </row>
    <row r="62" spans="11:11" x14ac:dyDescent="0.25">
      <c r="K62" s="63"/>
    </row>
  </sheetData>
  <mergeCells count="6">
    <mergeCell ref="C2:D2"/>
    <mergeCell ref="C4:D4"/>
    <mergeCell ref="F21:G21"/>
    <mergeCell ref="F22:G22"/>
    <mergeCell ref="F23:G23"/>
    <mergeCell ref="G9:H9"/>
  </mergeCells>
  <hyperlinks>
    <hyperlink ref="F22" r:id="rId1" display="donnellsp@gmail.com" xr:uid="{CE34E546-393D-47A9-A092-2C7F4E89A281}"/>
    <hyperlink ref="F23" r:id="rId2" xr:uid="{500DD87C-7A45-478D-A876-4D3F81B3C20F}"/>
  </hyperlinks>
  <pageMargins left="0.7" right="0.7" top="0.75" bottom="0.75" header="0.3" footer="0.3"/>
  <pageSetup scale="92" orientation="landscape" horizontalDpi="0" verticalDpi="0" r:id="rId3"/>
  <drawing r:id="rId4"/>
  <legacyDrawing r:id="rId5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promptTitle="Select Slit Orientation" prompt="Slit Perpendicular to Horizon - Slit is aligned with dispersion_x000a_Slit Perpendicular to Celestial Equator - Slit is parallel to RA/hour circles_x000a_Slit Parallel to Celestial Equator - Slit is parallel to Dec circles" xr:uid="{2DC880EC-1FA8-46A9-8428-00C337967146}">
          <x14:formula1>
            <xm:f>Data!$G$22:$G$24</xm:f>
          </x14:formula1>
          <xm:sqref>C4:D4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CB2ADC-DE6D-4A02-BC44-8CC103DB1201}">
  <sheetPr>
    <tabColor theme="0" tint="-0.249977111117893"/>
  </sheetPr>
  <dimension ref="B2:I65"/>
  <sheetViews>
    <sheetView workbookViewId="0">
      <selection activeCell="J34" sqref="J34"/>
    </sheetView>
  </sheetViews>
  <sheetFormatPr defaultRowHeight="15" x14ac:dyDescent="0.25"/>
  <cols>
    <col min="1" max="1" width="3.7109375" customWidth="1"/>
    <col min="2" max="2" width="29.42578125" bestFit="1" customWidth="1"/>
    <col min="3" max="5" width="8.5703125" bestFit="1" customWidth="1"/>
    <col min="6" max="6" width="5.7109375" customWidth="1"/>
    <col min="7" max="7" width="29.140625" bestFit="1" customWidth="1"/>
    <col min="8" max="8" width="15.5703125" bestFit="1" customWidth="1"/>
    <col min="9" max="9" width="6.42578125" bestFit="1" customWidth="1"/>
  </cols>
  <sheetData>
    <row r="2" spans="2:9" ht="15.75" x14ac:dyDescent="0.25">
      <c r="B2" s="70" t="s">
        <v>78</v>
      </c>
    </row>
    <row r="4" spans="2:9" ht="15.75" thickBot="1" x14ac:dyDescent="0.3">
      <c r="B4" s="3" t="s">
        <v>5</v>
      </c>
      <c r="G4" s="3" t="s">
        <v>6</v>
      </c>
    </row>
    <row r="5" spans="2:9" x14ac:dyDescent="0.25">
      <c r="B5" s="12" t="s">
        <v>5</v>
      </c>
      <c r="C5" s="13">
        <f>'Slit Loss Calculator'!$C$12+'Slit Loss Calculator'!$C$13-'Slit Loss Calculator'!$C$14/2/86400</f>
        <v>45556.124652777777</v>
      </c>
      <c r="D5" s="14" t="s">
        <v>9</v>
      </c>
      <c r="E5" s="15"/>
      <c r="G5" s="16" t="s">
        <v>10</v>
      </c>
      <c r="H5" s="17">
        <v>36526.5</v>
      </c>
      <c r="I5" s="7" t="s">
        <v>9</v>
      </c>
    </row>
    <row r="6" spans="2:9" x14ac:dyDescent="0.25">
      <c r="B6" s="18" t="s">
        <v>14</v>
      </c>
      <c r="C6" s="19">
        <f>C5-$H$5</f>
        <v>9029.6246527777766</v>
      </c>
      <c r="E6" s="20"/>
      <c r="G6" s="21" t="s">
        <v>7</v>
      </c>
      <c r="H6" s="22">
        <f>(LEFT('Slit Loss Calculator'!C8,2)+MID('Slit Loss Calculator'!C8,4,2)/60+RIGHT('Slit Loss Calculator'!C8,2)/3600)*15</f>
        <v>0</v>
      </c>
      <c r="I6" s="11" t="s">
        <v>15</v>
      </c>
    </row>
    <row r="7" spans="2:9" x14ac:dyDescent="0.25">
      <c r="B7" s="18" t="s">
        <v>17</v>
      </c>
      <c r="C7" s="19">
        <f>MOD(280.46061837 + 360.98564736629 *C6,360)</f>
        <v>45.361375967506319</v>
      </c>
      <c r="D7" t="s">
        <v>15</v>
      </c>
      <c r="E7" s="20"/>
      <c r="G7" s="21" t="s">
        <v>12</v>
      </c>
      <c r="H7" s="22">
        <f>IF(MID('Slit Loss Calculator'!C9,3,1) = ":", (LEFT('Slit Loss Calculator'!C9,2)+MID('Slit Loss Calculator'!C9,4,2)/60+RIGHT('Slit Loss Calculator'!C9,2)/3600), IF(LEFT('Slit Loss Calculator'!C9,1) = "-", -1*(MID('Slit Loss Calculator'!C9,2,2)+MID('Slit Loss Calculator'!C9,5,2)/60+RIGHT('Slit Loss Calculator'!C9,2)/3600), MID('Slit Loss Calculator'!C9,2,2)+MID('Slit Loss Calculator'!C9,5,2)/60+RIGHT('Slit Loss Calculator'!C9,2)/3600))</f>
        <v>60</v>
      </c>
      <c r="I7" s="11" t="s">
        <v>15</v>
      </c>
    </row>
    <row r="8" spans="2:9" x14ac:dyDescent="0.25">
      <c r="B8" s="18" t="s">
        <v>22</v>
      </c>
      <c r="C8" s="19">
        <f>MOD(C7+'Slit Loss Calculator'!$C$23,360)</f>
        <v>45.361375967506319</v>
      </c>
      <c r="D8" t="s">
        <v>15</v>
      </c>
      <c r="E8" s="20"/>
      <c r="G8" s="21" t="s">
        <v>23</v>
      </c>
      <c r="H8" s="28">
        <f>'Slit Loss Calculator'!C28/1000*(206265/'Slit Loss Calculator'!C$27)</f>
        <v>2.9166430995475117</v>
      </c>
      <c r="I8" s="11" t="s">
        <v>24</v>
      </c>
    </row>
    <row r="9" spans="2:9" x14ac:dyDescent="0.25">
      <c r="B9" s="18" t="s">
        <v>27</v>
      </c>
      <c r="C9" s="19">
        <f>C8-$H$6</f>
        <v>45.361375967506319</v>
      </c>
      <c r="D9" t="s">
        <v>15</v>
      </c>
      <c r="E9" s="20"/>
      <c r="G9" s="21" t="s">
        <v>28</v>
      </c>
      <c r="H9" s="28">
        <f>'Slit Loss Calculator'!C29/1000*(206265/'Slit Loss Calculator'!C$27)</f>
        <v>29.166430995475114</v>
      </c>
      <c r="I9" s="11" t="s">
        <v>24</v>
      </c>
    </row>
    <row r="10" spans="2:9" ht="15.75" thickBot="1" x14ac:dyDescent="0.3">
      <c r="B10" s="18" t="s">
        <v>30</v>
      </c>
      <c r="C10" s="34">
        <f>90-DEGREES(ASIN(SIN(RADIANS($H$7))*SIN(RADIANS('Slit Loss Calculator'!$C$24))+COS(RADIANS($H$7))*COS(RADIANS('Slit Loss Calculator'!$C$24))*COS(RADIANS(C9))))</f>
        <v>34.330885204624721</v>
      </c>
      <c r="D10" t="s">
        <v>15</v>
      </c>
      <c r="E10" s="20"/>
      <c r="G10" s="29" t="s">
        <v>31</v>
      </c>
      <c r="H10" s="35">
        <f>('Slit Loss Calculator'!C33+'Slit Loss Calculator'!C32)/2</f>
        <v>550</v>
      </c>
      <c r="I10" s="36" t="s">
        <v>32</v>
      </c>
    </row>
    <row r="11" spans="2:9" x14ac:dyDescent="0.25">
      <c r="B11" s="18" t="s">
        <v>34</v>
      </c>
      <c r="C11" s="34">
        <f>DEGREES(ATAN2((COS(RADIANS(H7))*TAN(RADIANS('Slit Loss Calculator'!$C$24))-SIN(RADIANS(H7))*COS(RADIANS(C9))),SIN(RADIANS(C9))))</f>
        <v>104.87131666643288</v>
      </c>
      <c r="D11" t="s">
        <v>15</v>
      </c>
      <c r="E11" s="20"/>
    </row>
    <row r="12" spans="2:9" ht="15.75" thickBot="1" x14ac:dyDescent="0.3">
      <c r="B12" s="18" t="s">
        <v>35</v>
      </c>
      <c r="C12" s="34">
        <f>C11-C29</f>
        <v>0.13197249228031183</v>
      </c>
      <c r="D12" t="s">
        <v>15</v>
      </c>
      <c r="E12" s="20"/>
      <c r="G12" s="3" t="s">
        <v>36</v>
      </c>
    </row>
    <row r="13" spans="2:9" x14ac:dyDescent="0.25">
      <c r="B13" s="18" t="s">
        <v>40</v>
      </c>
      <c r="C13" s="34">
        <f>C31+C12</f>
        <v>194.87131666643288</v>
      </c>
      <c r="D13" t="s">
        <v>15</v>
      </c>
      <c r="E13" s="20"/>
      <c r="G13" s="16" t="s">
        <v>37</v>
      </c>
      <c r="H13" s="39">
        <f>'Slit Loss Calculator'!$C$12+'Slit Loss Calculator'!$C$13</f>
        <v>45556.125</v>
      </c>
      <c r="I13" s="7" t="s">
        <v>9</v>
      </c>
    </row>
    <row r="14" spans="2:9" x14ac:dyDescent="0.25">
      <c r="B14" s="18" t="s">
        <v>29</v>
      </c>
      <c r="C14" s="34">
        <f>DEGREES(ACOS((SIN(RADIANS($H$7))-SIN(RADIANS(90-$C10))*SIN(RADIANS('Slit Loss Calculator'!$C$24)))/(COS(RADIANS(90-$C10))*COS(RADIANS('Slit Loss Calculator'!$C$24)))))</f>
        <v>39.112206852691003</v>
      </c>
      <c r="D14" t="s">
        <v>15</v>
      </c>
      <c r="E14" s="20"/>
      <c r="G14" s="21" t="s">
        <v>14</v>
      </c>
      <c r="H14" s="19">
        <f>H13-$H$5</f>
        <v>9029.625</v>
      </c>
      <c r="I14" s="11"/>
    </row>
    <row r="15" spans="2:9" x14ac:dyDescent="0.25">
      <c r="B15" s="42" t="s">
        <v>43</v>
      </c>
      <c r="C15" s="2" t="str">
        <f>TEXT('Slit Loss Calculator'!$C$32,0)&amp;" nm"</f>
        <v>400 nm</v>
      </c>
      <c r="D15" s="2" t="str">
        <f>TEXT($H$10,0)&amp;" nm"</f>
        <v>550 nm</v>
      </c>
      <c r="E15" s="43" t="str">
        <f>TEXT('Slit Loss Calculator'!$C$33,0) &amp;" nm"</f>
        <v>700 nm</v>
      </c>
      <c r="G15" s="21" t="s">
        <v>17</v>
      </c>
      <c r="H15" s="19">
        <f>MOD(280.46061837 + 360.98564736629 *H14,360)</f>
        <v>45.486718206200749</v>
      </c>
      <c r="I15" s="11" t="s">
        <v>15</v>
      </c>
    </row>
    <row r="16" spans="2:9" x14ac:dyDescent="0.25">
      <c r="B16" s="18" t="s">
        <v>45</v>
      </c>
      <c r="C16" s="28">
        <f>206265*$C$65*TAN(RADIANS($C10))</f>
        <v>140899.71871998024</v>
      </c>
      <c r="D16" s="28">
        <f>206265*$D$65*TAN(RADIANS($C10))</f>
        <v>140899.15312481756</v>
      </c>
      <c r="E16" s="45">
        <f>206265*$E$65*TAN(RADIANS($C10))</f>
        <v>140898.91942522093</v>
      </c>
      <c r="G16" s="21" t="s">
        <v>22</v>
      </c>
      <c r="H16" s="19">
        <f>MOD(H15+'Slit Loss Calculator'!$C$23,360)</f>
        <v>45.486718206200749</v>
      </c>
      <c r="I16" s="11" t="s">
        <v>15</v>
      </c>
    </row>
    <row r="17" spans="2:9" x14ac:dyDescent="0.25">
      <c r="B17" s="18" t="s">
        <v>47</v>
      </c>
      <c r="C17" s="22">
        <f>C16-D16</f>
        <v>0.56559516268316656</v>
      </c>
      <c r="D17">
        <v>0</v>
      </c>
      <c r="E17" s="49">
        <f>E16-D16</f>
        <v>-0.23369959663250484</v>
      </c>
      <c r="G17" s="21" t="s">
        <v>27</v>
      </c>
      <c r="H17" s="19">
        <f>H16-$H$6</f>
        <v>45.486718206200749</v>
      </c>
      <c r="I17" s="11" t="s">
        <v>15</v>
      </c>
    </row>
    <row r="18" spans="2:9" x14ac:dyDescent="0.25">
      <c r="B18" s="18" t="s">
        <v>50</v>
      </c>
      <c r="C18" s="50">
        <f>(_xlfn.ERF.PRECISE(($H$8/2-C17*SIN(RADIANS($C13)))/(SQRT(2)*'Slit Loss Calculator'!$C$17/2))
+_xlfn.ERF.PRECISE(($H$8/2+C17*SIN(RADIANS($C13)))/(SQRT(2)*'Slit Loss Calculator'!$C$17/2)))/2
*(_xlfn.ERF.PRECISE(($H$9/2-C17*COS(RADIANS($C13)))/(SQRT(2)*'Slit Loss Calculator'!$C$17/2))
+_xlfn.ERF.PRECISE(($H$9/2+C17*COS(RADIANS($C13)))/(SQRT(2)*'Slit Loss Calculator'!$C$17/2)))/2</f>
        <v>0.75347893461914894</v>
      </c>
      <c r="D18" s="50">
        <f>_xlfn.ERF.PRECISE(($H$8/2)/(SQRT(2)*('Slit Loss Calculator'!$C$17/2)))*_xlfn.ERF.PRECISE(($H$9/2)/(SQRT(2)*('Slit Loss Calculator'!$C$17/2)))</f>
        <v>0.75665118240862173</v>
      </c>
      <c r="E18" s="51">
        <f>(_xlfn.ERF.PRECISE(($H$8/2-E17*SIN(RADIANS($C13)))/(SQRT(2)*'Slit Loss Calculator'!$C$17/2))
+_xlfn.ERF.PRECISE(($H$8/2+E17*SIN(RADIANS($C13)))/(SQRT(2)*'Slit Loss Calculator'!$C$17/2)))/2
*(_xlfn.ERF.PRECISE(($H$9/2-E17*COS(RADIANS($C13)))/(SQRT(2)*'Slit Loss Calculator'!$C$17/2))
+_xlfn.ERF.PRECISE(($H$9/2+E17*COS(RADIANS($C13)))/(SQRT(2)*'Slit Loss Calculator'!$C$17/2)))/2</f>
        <v>0.75610876327019649</v>
      </c>
      <c r="G18" s="21" t="s">
        <v>30</v>
      </c>
      <c r="H18" s="34">
        <f>90-DEGREES(ASIN(SIN(RADIANS($H$7))*SIN(RADIANS('Slit Loss Calculator'!$C$24))+COS(RADIANS($H$7))*COS(RADIANS('Slit Loss Calculator'!$C$24))*COS(RADIANS(H17))))</f>
        <v>34.391475611557958</v>
      </c>
      <c r="I18" s="11" t="s">
        <v>15</v>
      </c>
    </row>
    <row r="19" spans="2:9" ht="15.75" thickBot="1" x14ac:dyDescent="0.3">
      <c r="B19" s="18" t="s">
        <v>54</v>
      </c>
      <c r="C19" s="22">
        <f>C18/D18</f>
        <v>0.99580751624629105</v>
      </c>
      <c r="D19" s="22">
        <v>1</v>
      </c>
      <c r="E19" s="49">
        <f>E18/D18</f>
        <v>0.99928313184326423</v>
      </c>
      <c r="G19" s="29" t="s">
        <v>34</v>
      </c>
      <c r="H19" s="52">
        <f>DEGREES(ATAN2((COS(RADIANS(H7))*TAN(RADIANS('Slit Loss Calculator'!$C$24))-SIN(RADIANS(H7))*COS(RADIANS(H17))),SIN(RADIANS(H17))))</f>
        <v>104.73934417415256</v>
      </c>
      <c r="I19" s="41" t="s">
        <v>15</v>
      </c>
    </row>
    <row r="20" spans="2:9" x14ac:dyDescent="0.25">
      <c r="B20" s="53" t="s">
        <v>57</v>
      </c>
      <c r="C20" s="54">
        <f>1-C19</f>
        <v>4.1924837537089532E-3</v>
      </c>
      <c r="D20" s="54">
        <f>1-D19</f>
        <v>0</v>
      </c>
      <c r="E20" s="55">
        <f>1-E19</f>
        <v>7.1686815673577264E-4</v>
      </c>
    </row>
    <row r="21" spans="2:9" ht="15.75" thickBot="1" x14ac:dyDescent="0.3">
      <c r="G21" s="3" t="s">
        <v>80</v>
      </c>
    </row>
    <row r="22" spans="2:9" x14ac:dyDescent="0.25">
      <c r="B22" s="3" t="s">
        <v>37</v>
      </c>
      <c r="G22" s="16" t="s">
        <v>60</v>
      </c>
      <c r="H22" s="56">
        <v>0</v>
      </c>
      <c r="I22" s="7"/>
    </row>
    <row r="23" spans="2:9" x14ac:dyDescent="0.25">
      <c r="B23" s="12" t="s">
        <v>5</v>
      </c>
      <c r="C23" s="13">
        <f>'Slit Loss Calculator'!$C$12+'Slit Loss Calculator'!$C$13</f>
        <v>45556.125</v>
      </c>
      <c r="D23" s="14" t="s">
        <v>9</v>
      </c>
      <c r="E23" s="15"/>
      <c r="G23" s="21" t="s">
        <v>82</v>
      </c>
      <c r="H23">
        <v>1</v>
      </c>
      <c r="I23" s="11"/>
    </row>
    <row r="24" spans="2:9" x14ac:dyDescent="0.25">
      <c r="B24" s="18" t="s">
        <v>14</v>
      </c>
      <c r="C24" s="19">
        <f>C23-$H$5</f>
        <v>9029.625</v>
      </c>
      <c r="E24" s="20"/>
      <c r="G24" s="21" t="s">
        <v>64</v>
      </c>
      <c r="H24">
        <v>2</v>
      </c>
      <c r="I24" s="11"/>
    </row>
    <row r="25" spans="2:9" ht="15.75" thickBot="1" x14ac:dyDescent="0.3">
      <c r="B25" s="18" t="s">
        <v>17</v>
      </c>
      <c r="C25" s="19">
        <f>MOD(280.46061837 + 360.98564736629 *C24,360)</f>
        <v>45.486718206200749</v>
      </c>
      <c r="D25" t="s">
        <v>15</v>
      </c>
      <c r="E25" s="20"/>
      <c r="G25" s="29" t="s">
        <v>65</v>
      </c>
      <c r="H25" s="35">
        <f>_xlfn.XLOOKUP('Slit Loss Calculator'!C4,G22:G24,H22:H24)</f>
        <v>2</v>
      </c>
      <c r="I25" s="41"/>
    </row>
    <row r="26" spans="2:9" x14ac:dyDescent="0.25">
      <c r="B26" s="18" t="s">
        <v>22</v>
      </c>
      <c r="C26" s="19">
        <f>MOD(C25+'Slit Loss Calculator'!$C$23,360)</f>
        <v>45.486718206200749</v>
      </c>
      <c r="D26" t="s">
        <v>15</v>
      </c>
      <c r="E26" s="20"/>
    </row>
    <row r="27" spans="2:9" x14ac:dyDescent="0.25">
      <c r="B27" s="18" t="s">
        <v>27</v>
      </c>
      <c r="C27" s="19">
        <f>C26-$H$6</f>
        <v>45.486718206200749</v>
      </c>
      <c r="D27" t="s">
        <v>15</v>
      </c>
      <c r="E27" s="20"/>
    </row>
    <row r="28" spans="2:9" x14ac:dyDescent="0.25">
      <c r="B28" s="18" t="s">
        <v>30</v>
      </c>
      <c r="C28" s="34">
        <f>90-DEGREES(ASIN(SIN(RADIANS($H$7))*SIN(RADIANS('Slit Loss Calculator'!$C$24))+COS(RADIANS($H$7))*COS(RADIANS('Slit Loss Calculator'!$C$24))*COS(RADIANS(C27))))</f>
        <v>34.391475611557958</v>
      </c>
      <c r="D28" t="s">
        <v>15</v>
      </c>
      <c r="E28" s="20"/>
    </row>
    <row r="29" spans="2:9" x14ac:dyDescent="0.25">
      <c r="B29" s="18" t="s">
        <v>34</v>
      </c>
      <c r="C29" s="34">
        <f>DEGREES(ATAN2((COS(RADIANS(H7))*TAN(RADIANS('Slit Loss Calculator'!$C$24))-SIN(RADIANS(H7))*COS(RADIANS(C27))),SIN(RADIANS(C27))))</f>
        <v>104.73934417415256</v>
      </c>
      <c r="D29" t="s">
        <v>15</v>
      </c>
      <c r="E29" s="20"/>
    </row>
    <row r="30" spans="2:9" x14ac:dyDescent="0.25">
      <c r="B30" s="18" t="s">
        <v>35</v>
      </c>
      <c r="C30" s="34">
        <f>IF(H25=0, -H19, IF(H25=1, 0, 90))</f>
        <v>90</v>
      </c>
      <c r="E30" s="20"/>
    </row>
    <row r="31" spans="2:9" x14ac:dyDescent="0.25">
      <c r="B31" s="18" t="s">
        <v>40</v>
      </c>
      <c r="C31" s="34">
        <f>C29+C30</f>
        <v>194.73934417415256</v>
      </c>
      <c r="D31" t="s">
        <v>15</v>
      </c>
      <c r="E31" s="20"/>
    </row>
    <row r="32" spans="2:9" x14ac:dyDescent="0.25">
      <c r="B32" s="18" t="s">
        <v>29</v>
      </c>
      <c r="C32" s="34">
        <f>DEGREES(ACOS((SIN(RADIANS($H$7))-SIN(RADIANS(90-$C28))*SIN(RADIANS('Slit Loss Calculator'!$C$24)))/(COS(RADIANS(90-$C28))*COS(RADIANS('Slit Loss Calculator'!$C$24)))))</f>
        <v>39.140581202873491</v>
      </c>
      <c r="D32" t="s">
        <v>15</v>
      </c>
      <c r="E32" s="20"/>
    </row>
    <row r="33" spans="2:5" x14ac:dyDescent="0.25">
      <c r="B33" s="42" t="s">
        <v>43</v>
      </c>
      <c r="C33" s="2" t="str">
        <f>TEXT('Slit Loss Calculator'!$C$32,0)&amp;" nm"</f>
        <v>400 nm</v>
      </c>
      <c r="D33" s="2" t="str">
        <f>TEXT($H$10,0)&amp;" nm"</f>
        <v>550 nm</v>
      </c>
      <c r="E33" s="43" t="str">
        <f>TEXT('Slit Loss Calculator'!$C$33,0) &amp;" nm"</f>
        <v>700 nm</v>
      </c>
    </row>
    <row r="34" spans="2:5" x14ac:dyDescent="0.25">
      <c r="B34" s="18" t="s">
        <v>45</v>
      </c>
      <c r="C34" s="28">
        <f>206265*$C$65*TAN(RADIANS($C28))</f>
        <v>141219.88557612151</v>
      </c>
      <c r="D34" s="28">
        <f>206265*$D$65*TAN(RADIANS($C28))</f>
        <v>141219.31869575521</v>
      </c>
      <c r="E34" s="45">
        <f>206265*$E$65*TAN(RADIANS($C28))</f>
        <v>141219.08446512229</v>
      </c>
    </row>
    <row r="35" spans="2:5" x14ac:dyDescent="0.25">
      <c r="B35" s="18" t="s">
        <v>47</v>
      </c>
      <c r="C35" s="22">
        <f>C34-D34</f>
        <v>0.56688036629930139</v>
      </c>
      <c r="D35">
        <v>0</v>
      </c>
      <c r="E35" s="49">
        <f>E34-D34</f>
        <v>-0.23423063292284496</v>
      </c>
    </row>
    <row r="36" spans="2:5" x14ac:dyDescent="0.25">
      <c r="B36" s="18" t="s">
        <v>50</v>
      </c>
      <c r="C36" s="50">
        <f>(_xlfn.ERF.PRECISE(($H$8/2-C35*SIN(RADIANS($C31)))/(SQRT(2)*'Slit Loss Calculator'!$C$17/2))
+_xlfn.ERF.PRECISE(($H$8/2+C35*SIN(RADIANS($C31)))/(SQRT(2)*'Slit Loss Calculator'!$C$17/2)))/2
*(_xlfn.ERF.PRECISE(($H$9/2-C35*COS(RADIANS($C31)))/(SQRT(2)*'Slit Loss Calculator'!$C$17/2))
+_xlfn.ERF.PRECISE(($H$9/2+C35*COS(RADIANS($C31)))/(SQRT(2)*'Slit Loss Calculator'!$C$17/2)))/2</f>
        <v>0.75351948796935053</v>
      </c>
      <c r="D36" s="50">
        <f>_xlfn.ERF.PRECISE(($H$8/2)/(SQRT(2)*('Slit Loss Calculator'!$C$17/2)))*_xlfn.ERF.PRECISE(($H$9/2)/(SQRT(2)*('Slit Loss Calculator'!$C$17/2)))</f>
        <v>0.75665118240862173</v>
      </c>
      <c r="E36" s="51">
        <f>(_xlfn.ERF.PRECISE(($H$8/2-E35*SIN(RADIANS($C31)))/(SQRT(2)*'Slit Loss Calculator'!$C$17/2))
+_xlfn.ERF.PRECISE(($H$8/2+E35*SIN(RADIANS($C31)))/(SQRT(2)*'Slit Loss Calculator'!$C$17/2)))/2
*(_xlfn.ERF.PRECISE(($H$9/2-E35*COS(RADIANS($C31)))/(SQRT(2)*'Slit Loss Calculator'!$C$17/2))
+_xlfn.ERF.PRECISE(($H$9/2+E35*COS(RADIANS($C31)))/(SQRT(2)*'Slit Loss Calculator'!$C$17/2)))/2</f>
        <v>0.75611570791802452</v>
      </c>
    </row>
    <row r="37" spans="2:5" x14ac:dyDescent="0.25">
      <c r="B37" s="18" t="s">
        <v>54</v>
      </c>
      <c r="C37" s="50">
        <f>C36/D36</f>
        <v>0.99586111207901351</v>
      </c>
      <c r="D37" s="50">
        <v>1</v>
      </c>
      <c r="E37" s="51">
        <f>E36/D36</f>
        <v>0.99929230997975493</v>
      </c>
    </row>
    <row r="38" spans="2:5" x14ac:dyDescent="0.25">
      <c r="B38" s="53" t="s">
        <v>57</v>
      </c>
      <c r="C38" s="54">
        <f>1-C37</f>
        <v>4.1388879209864893E-3</v>
      </c>
      <c r="D38" s="54">
        <f>1-D37</f>
        <v>0</v>
      </c>
      <c r="E38" s="55">
        <f>1-E37</f>
        <v>7.0769002024506644E-4</v>
      </c>
    </row>
    <row r="39" spans="2:5" x14ac:dyDescent="0.25">
      <c r="C39" s="64"/>
      <c r="D39" s="64"/>
      <c r="E39" s="64"/>
    </row>
    <row r="40" spans="2:5" x14ac:dyDescent="0.25">
      <c r="B40" s="3" t="s">
        <v>73</v>
      </c>
    </row>
    <row r="41" spans="2:5" x14ac:dyDescent="0.25">
      <c r="B41" s="12" t="s">
        <v>5</v>
      </c>
      <c r="C41" s="13">
        <f>'Slit Loss Calculator'!$C$12+'Slit Loss Calculator'!$C$13+'Slit Loss Calculator'!$C$14/2/86400</f>
        <v>45556.125347222223</v>
      </c>
      <c r="D41" s="14" t="s">
        <v>9</v>
      </c>
      <c r="E41" s="15"/>
    </row>
    <row r="42" spans="2:5" x14ac:dyDescent="0.25">
      <c r="B42" s="18" t="s">
        <v>14</v>
      </c>
      <c r="C42" s="19">
        <f>C41-$H$5</f>
        <v>9029.6253472222234</v>
      </c>
      <c r="E42" s="20"/>
    </row>
    <row r="43" spans="2:5" x14ac:dyDescent="0.25">
      <c r="B43" s="18" t="s">
        <v>17</v>
      </c>
      <c r="C43" s="19">
        <f>MOD(280.46061837 + 360.98564736629 *C42,360)</f>
        <v>45.612060445360839</v>
      </c>
      <c r="D43" t="s">
        <v>15</v>
      </c>
      <c r="E43" s="20"/>
    </row>
    <row r="44" spans="2:5" x14ac:dyDescent="0.25">
      <c r="B44" s="18" t="s">
        <v>22</v>
      </c>
      <c r="C44" s="19">
        <f>MOD(C43+'Slit Loss Calculator'!$C$23,360)</f>
        <v>45.612060445360839</v>
      </c>
      <c r="D44" t="s">
        <v>15</v>
      </c>
      <c r="E44" s="20"/>
    </row>
    <row r="45" spans="2:5" x14ac:dyDescent="0.25">
      <c r="B45" s="18" t="s">
        <v>27</v>
      </c>
      <c r="C45" s="19">
        <f>C44-$H$6</f>
        <v>45.612060445360839</v>
      </c>
      <c r="D45" t="s">
        <v>15</v>
      </c>
      <c r="E45" s="20"/>
    </row>
    <row r="46" spans="2:5" x14ac:dyDescent="0.25">
      <c r="B46" s="18" t="s">
        <v>30</v>
      </c>
      <c r="C46" s="34">
        <f>90-DEGREES(ASIN(SIN(RADIANS($H$7))*SIN(RADIANS('Slit Loss Calculator'!$C$24))+COS(RADIANS($H$7))*COS(RADIANS('Slit Loss Calculator'!$C$24))*COS(RADIANS(C45))))</f>
        <v>34.4521027099156</v>
      </c>
      <c r="D46" t="s">
        <v>15</v>
      </c>
      <c r="E46" s="20"/>
    </row>
    <row r="47" spans="2:5" x14ac:dyDescent="0.25">
      <c r="B47" s="18" t="s">
        <v>34</v>
      </c>
      <c r="C47" s="34">
        <f>DEGREES(ATAN2((COS(RADIANS(H7))*TAN(RADIANS('Slit Loss Calculator'!$C$24))-SIN(RADIANS(H7))*COS(RADIANS(C45))),SIN(RADIANS(C45))))</f>
        <v>104.60762830042142</v>
      </c>
      <c r="D47" t="s">
        <v>15</v>
      </c>
      <c r="E47" s="20"/>
    </row>
    <row r="48" spans="2:5" x14ac:dyDescent="0.25">
      <c r="B48" s="18" t="s">
        <v>35</v>
      </c>
      <c r="C48" s="34">
        <f>C47-C29</f>
        <v>-0.1317158737311388</v>
      </c>
      <c r="D48" t="s">
        <v>15</v>
      </c>
      <c r="E48" s="20"/>
    </row>
    <row r="49" spans="2:5" x14ac:dyDescent="0.25">
      <c r="B49" s="18" t="s">
        <v>40</v>
      </c>
      <c r="C49" s="34">
        <f>C31+C48</f>
        <v>194.60762830042142</v>
      </c>
      <c r="D49" t="s">
        <v>15</v>
      </c>
      <c r="E49" s="20"/>
    </row>
    <row r="50" spans="2:5" x14ac:dyDescent="0.25">
      <c r="B50" s="18" t="s">
        <v>29</v>
      </c>
      <c r="C50" s="34">
        <f>DEGREES(ACOS((SIN(RADIANS($H$7))-SIN(RADIANS(90-$C46))*SIN(RADIANS('Slit Loss Calculator'!$C$24)))/(COS(RADIANS(90-$C46))*COS(RADIANS('Slit Loss Calculator'!$C$24)))))</f>
        <v>39.168665014187269</v>
      </c>
      <c r="D50" t="s">
        <v>15</v>
      </c>
      <c r="E50" s="20"/>
    </row>
    <row r="51" spans="2:5" x14ac:dyDescent="0.25">
      <c r="B51" s="42" t="s">
        <v>43</v>
      </c>
      <c r="C51" s="2" t="str">
        <f>TEXT('Slit Loss Calculator'!$C$32,0)&amp;" nm"</f>
        <v>400 nm</v>
      </c>
      <c r="D51" s="2" t="str">
        <f>TEXT($H$10,0)&amp;" nm"</f>
        <v>550 nm</v>
      </c>
      <c r="E51" s="43" t="str">
        <f>TEXT('Slit Loss Calculator'!$C$33,0) &amp;" nm"</f>
        <v>700 nm</v>
      </c>
    </row>
    <row r="52" spans="2:5" x14ac:dyDescent="0.25">
      <c r="B52" s="18" t="s">
        <v>45</v>
      </c>
      <c r="C52" s="28">
        <f>206265*$C$65*TAN(RADIANS($C46))</f>
        <v>141540.71058099539</v>
      </c>
      <c r="D52" s="28">
        <f>206265*$D$65*TAN(RADIANS($C46))</f>
        <v>141540.14241278358</v>
      </c>
      <c r="E52" s="45">
        <f>206265*$E$65*TAN(RADIANS($C46))</f>
        <v>141539.90765002274</v>
      </c>
    </row>
    <row r="53" spans="2:5" x14ac:dyDescent="0.25">
      <c r="B53" s="18" t="s">
        <v>47</v>
      </c>
      <c r="C53" s="22">
        <f>C52-D52</f>
        <v>0.56816821181564592</v>
      </c>
      <c r="D53">
        <v>0</v>
      </c>
      <c r="E53" s="49">
        <f>E52-D52</f>
        <v>-0.23476276083965786</v>
      </c>
    </row>
    <row r="54" spans="2:5" x14ac:dyDescent="0.25">
      <c r="B54" s="18" t="s">
        <v>50</v>
      </c>
      <c r="C54" s="51">
        <f>(_xlfn.ERF.PRECISE(($H$8/2-C53*SIN(RADIANS($C49)))/(SQRT(2)*'Slit Loss Calculator'!$C$17/2))
+_xlfn.ERF.PRECISE(($H$8/2+C53*SIN(RADIANS($C49)))/(SQRT(2)*'Slit Loss Calculator'!$C$17/2)))/2
*(_xlfn.ERF.PRECISE(($H$9/2-C53*COS(RADIANS($C49)))/(SQRT(2)*'Slit Loss Calculator'!$C$17/2))
+_xlfn.ERF.PRECISE(($H$9/2+C53*COS(RADIANS($C49)))/(SQRT(2)*'Slit Loss Calculator'!$C$17/2)))/2</f>
        <v>0.75355992666205995</v>
      </c>
      <c r="D54" s="50">
        <f>_xlfn.ERF.PRECISE(($H$8/2)/(SQRT(2)*('Slit Loss Calculator'!$C$17/2)))*_xlfn.ERF.PRECISE(($H$9/2)/(SQRT(2)*('Slit Loss Calculator'!$C$17/2)))</f>
        <v>0.75665118240862173</v>
      </c>
      <c r="E54" s="51">
        <f>(_xlfn.ERF.PRECISE(($H$8/2-E53*SIN(RADIANS($C49)))/(SQRT(2)*'Slit Loss Calculator'!$C$17/2))
+_xlfn.ERF.PRECISE(($H$8/2+E53*SIN(RADIANS($C49)))/(SQRT(2)*'Slit Loss Calculator'!$C$17/2)))/2
*(_xlfn.ERF.PRECISE(($H$9/2-E53*COS(RADIANS($C49)))/(SQRT(2)*'Slit Loss Calculator'!$C$17/2))
+_xlfn.ERF.PRECISE(($H$9/2+E53*COS(RADIANS($C49)))/(SQRT(2)*'Slit Loss Calculator'!$C$17/2)))/2</f>
        <v>0.75612263266017132</v>
      </c>
    </row>
    <row r="55" spans="2:5" x14ac:dyDescent="0.25">
      <c r="B55" s="18" t="s">
        <v>54</v>
      </c>
      <c r="C55" s="50">
        <f>C54/D54</f>
        <v>0.99591455637890969</v>
      </c>
      <c r="D55" s="50">
        <v>1</v>
      </c>
      <c r="E55" s="51">
        <f>E54/D54</f>
        <v>0.99930146180863966</v>
      </c>
    </row>
    <row r="56" spans="2:5" x14ac:dyDescent="0.25">
      <c r="B56" s="53" t="s">
        <v>57</v>
      </c>
      <c r="C56" s="54">
        <f>1-C55</f>
        <v>4.0854436210903122E-3</v>
      </c>
      <c r="D56" s="54">
        <f>1-D55</f>
        <v>0</v>
      </c>
      <c r="E56" s="55">
        <f>1-E55</f>
        <v>6.9853819136034279E-4</v>
      </c>
    </row>
    <row r="57" spans="2:5" x14ac:dyDescent="0.25">
      <c r="C57" s="19"/>
    </row>
    <row r="58" spans="2:5" x14ac:dyDescent="0.25">
      <c r="B58" s="3" t="s">
        <v>74</v>
      </c>
      <c r="C58" s="34"/>
    </row>
    <row r="59" spans="2:5" x14ac:dyDescent="0.25">
      <c r="B59" s="12" t="s">
        <v>75</v>
      </c>
      <c r="C59" s="65" t="str">
        <f>TEXT('Slit Loss Calculator'!$C$32,0)&amp;" nm"</f>
        <v>400 nm</v>
      </c>
      <c r="D59" s="65" t="str">
        <f>TEXT($H$10,0)&amp;" nm"</f>
        <v>550 nm</v>
      </c>
      <c r="E59" s="66" t="str">
        <f>TEXT('Slit Loss Calculator'!$C$33,0) &amp;" nm"</f>
        <v>700 nm</v>
      </c>
    </row>
    <row r="60" spans="2:5" x14ac:dyDescent="0.25">
      <c r="B60" s="18" t="s">
        <v>76</v>
      </c>
      <c r="C60">
        <f>'Slit Loss Calculator'!C32/1000</f>
        <v>0.4</v>
      </c>
      <c r="D60">
        <f>H10/1000</f>
        <v>0.55000000000000004</v>
      </c>
      <c r="E60" s="20">
        <f>'Slit Loss Calculator'!C33/1000</f>
        <v>0.7</v>
      </c>
    </row>
    <row r="61" spans="2:5" x14ac:dyDescent="0.25">
      <c r="B61" s="18"/>
      <c r="C61" s="63">
        <f>64.328+29498.1/(146-(1/C$60)^2)+255.4/(41-(1/C$60)^2)</f>
        <v>282.75527892819912</v>
      </c>
      <c r="D61" s="63">
        <f>64.328+29498.1/(146-(1/D$60)^2)+255.4/(41-(1/D$60)^2)</f>
        <v>277.82604165006455</v>
      </c>
      <c r="E61" s="67">
        <f>64.328+29498.1/(146-(1/E$60)^2)+255.4/(41-(1/E$60)^2)</f>
        <v>275.78957543476253</v>
      </c>
    </row>
    <row r="62" spans="2:5" x14ac:dyDescent="0.25">
      <c r="B62" s="18"/>
      <c r="C62" s="63">
        <f>C61-((0.0624-0.00068/C60^2)/(1+0.003661*'Slit Loss Calculator'!$C$19))*'Slit Loss Calculator'!$C$20</f>
        <v>282.30170272554454</v>
      </c>
      <c r="D62" s="63">
        <f>D61-((0.0624-0.00068/D60^2)/(1+0.003661*'Slit Loss Calculator'!$C$19))*'Slit Loss Calculator'!$C$20</f>
        <v>277.35684911815417</v>
      </c>
      <c r="E62" s="67">
        <f>E61-((0.0624-0.00068/E60^2)/(1+0.003661*'Slit Loss Calculator'!$C$19))*'Slit Loss Calculator'!$C$20</f>
        <v>275.31367341659836</v>
      </c>
    </row>
    <row r="63" spans="2:5" x14ac:dyDescent="0.25">
      <c r="B63" s="18"/>
      <c r="C63" s="63">
        <f>C62*0.000001</f>
        <v>2.8230170272554452E-4</v>
      </c>
      <c r="D63" s="63">
        <f>D62*0.000001</f>
        <v>2.7735684911815419E-4</v>
      </c>
      <c r="E63" s="67">
        <f>E62*0.000001</f>
        <v>2.7531367341659838E-4</v>
      </c>
    </row>
    <row r="64" spans="2:5" x14ac:dyDescent="0.25">
      <c r="B64" s="18"/>
      <c r="C64" s="63">
        <f>'Slit Loss Calculator'!$C$18*(1+(1.049-0.0157*'Slit Loss Calculator'!$C$19)*'Slit Loss Calculator'!$C$18*0.000001)/(720.883*(1+0.003661*'Slit Loss Calculator'!$C$19))*C63</f>
        <v>2.2922139823088351E-4</v>
      </c>
      <c r="D64" s="63">
        <f>'Slit Loss Calculator'!$C$18*(1+(1.049-0.0157*'Slit Loss Calculator'!$C$19)*'Slit Loss Calculator'!$C$18*0.000001)/(720.883*(1+0.003661*'Slit Loss Calculator'!$C$19))*D63</f>
        <v>2.252063099512531E-4</v>
      </c>
      <c r="E64" s="67">
        <f>'Slit Loss Calculator'!$C$18*(1+(1.049-0.0157*'Slit Loss Calculator'!$C$19)*'Slit Loss Calculator'!$C$18*0.000001)/(720.883*(1+0.003661*'Slit Loss Calculator'!$C$19))*E63</f>
        <v>2.2354730617401655E-4</v>
      </c>
    </row>
    <row r="65" spans="2:5" x14ac:dyDescent="0.25">
      <c r="B65" s="53" t="s">
        <v>77</v>
      </c>
      <c r="C65" s="68">
        <f>1+C64</f>
        <v>1.0002292213982309</v>
      </c>
      <c r="D65" s="68">
        <f>1+D64</f>
        <v>1.0002252063099513</v>
      </c>
      <c r="E65" s="69">
        <f>1+E64</f>
        <v>1.000223547306174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Slit Loss Calculator</vt:lpstr>
      <vt:lpstr>Data</vt:lpstr>
      <vt:lpstr>'Slit Loss Calculator'!Print_Area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Donnell</dc:creator>
  <cp:lastModifiedBy>Scott Donnell</cp:lastModifiedBy>
  <cp:lastPrinted>2024-01-07T04:40:06Z</cp:lastPrinted>
  <dcterms:created xsi:type="dcterms:W3CDTF">2024-01-06T15:10:28Z</dcterms:created>
  <dcterms:modified xsi:type="dcterms:W3CDTF">2024-01-09T21:44:02Z</dcterms:modified>
</cp:coreProperties>
</file>